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2260" windowHeight="12645"/>
  </bookViews>
  <sheets>
    <sheet name="Foglio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F36" i="1"/>
  <c r="E35" i="1"/>
  <c r="F31" i="1"/>
  <c r="F32" i="1" s="1"/>
  <c r="E31" i="1"/>
  <c r="E30" i="1"/>
  <c r="E32" i="1" s="1"/>
  <c r="F28" i="1"/>
  <c r="F29" i="1" s="1"/>
  <c r="E28" i="1"/>
  <c r="E29" i="1" s="1"/>
  <c r="E26" i="1"/>
  <c r="F25" i="1"/>
  <c r="E25" i="1"/>
  <c r="E24" i="1"/>
  <c r="E27" i="1" s="1"/>
  <c r="F23" i="1"/>
  <c r="F22" i="1"/>
  <c r="F27" i="1" s="1"/>
  <c r="E22" i="1"/>
  <c r="F19" i="1"/>
  <c r="E18" i="1"/>
  <c r="F17" i="1"/>
  <c r="E17" i="1"/>
  <c r="F16" i="1"/>
  <c r="B16" i="1"/>
  <c r="F13" i="1"/>
  <c r="E13" i="1"/>
  <c r="B13" i="1"/>
  <c r="F12" i="1"/>
  <c r="C12" i="1"/>
  <c r="B12" i="1"/>
  <c r="F11" i="1"/>
  <c r="E11" i="1"/>
  <c r="C11" i="1"/>
  <c r="B11" i="1"/>
  <c r="F10" i="1"/>
  <c r="C10" i="1"/>
  <c r="B10" i="1"/>
  <c r="F9" i="1"/>
  <c r="E9" i="1"/>
  <c r="C9" i="1"/>
  <c r="B9" i="1"/>
  <c r="F8" i="1"/>
  <c r="E8" i="1"/>
  <c r="F7" i="1"/>
  <c r="E7" i="1"/>
  <c r="C5" i="1"/>
  <c r="B5" i="1"/>
  <c r="F4" i="1"/>
  <c r="E4" i="1"/>
  <c r="C4" i="1"/>
  <c r="B4" i="1"/>
  <c r="F21" i="1" l="1"/>
  <c r="E21" i="1"/>
  <c r="E33" i="1" s="1"/>
  <c r="E37" i="1" s="1"/>
  <c r="E38" i="1" s="1"/>
  <c r="B15" i="1"/>
  <c r="B37" i="1" s="1"/>
  <c r="C15" i="1"/>
  <c r="F33" i="1"/>
  <c r="F34" i="1" s="1"/>
  <c r="F37" i="1" l="1"/>
</calcChain>
</file>

<file path=xl/sharedStrings.xml><?xml version="1.0" encoding="utf-8"?>
<sst xmlns="http://schemas.openxmlformats.org/spreadsheetml/2006/main" count="56" uniqueCount="55">
  <si>
    <t xml:space="preserve">      RENDICONTO FINANZIARIO AL 31.12.2017</t>
  </si>
  <si>
    <t xml:space="preserve">ENTRATE </t>
  </si>
  <si>
    <t>USCITE</t>
  </si>
  <si>
    <t>Quote iscrizione annue</t>
  </si>
  <si>
    <t>Assicurazione Consiglio</t>
  </si>
  <si>
    <t xml:space="preserve">Nuove iscrizioni </t>
  </si>
  <si>
    <t xml:space="preserve">Quote FOFI </t>
  </si>
  <si>
    <t>Diritti di segreteria</t>
  </si>
  <si>
    <t>Corsi  ECM</t>
  </si>
  <si>
    <t>Corsi ECM</t>
  </si>
  <si>
    <t>Spese postali e postel</t>
  </si>
  <si>
    <t>Contributi FOFI per corsi ECM</t>
  </si>
  <si>
    <t>Assistenza informatica</t>
  </si>
  <si>
    <t>Cedole su Obbligazioni</t>
  </si>
  <si>
    <t>Sito web e canoni fissi dei software</t>
  </si>
  <si>
    <t>Interessi su titoli CID</t>
  </si>
  <si>
    <t>Cancelleria</t>
  </si>
  <si>
    <t xml:space="preserve">Interessi bancari C/C </t>
  </si>
  <si>
    <t xml:space="preserve">Targhette e spille per nuovi iscritti </t>
  </si>
  <si>
    <t>Tassa trasferimento albo</t>
  </si>
  <si>
    <t>Attrezzatura e arredi (targa)</t>
  </si>
  <si>
    <t>Rimb. Quote FOFI</t>
  </si>
  <si>
    <t>Spese per attività del Consiglio</t>
  </si>
  <si>
    <t>Arrotondamenti attivi</t>
  </si>
  <si>
    <t xml:space="preserve">Onoreficenze </t>
  </si>
  <si>
    <t>Entrate correnti gestione caratteristica</t>
  </si>
  <si>
    <t>Spese per invio sms</t>
  </si>
  <si>
    <t>Titoli Cid       (disinvestimento)</t>
  </si>
  <si>
    <t>Costo aruba pec</t>
  </si>
  <si>
    <t>Entrate gestione finanziaria</t>
  </si>
  <si>
    <t>Rimborso quote</t>
  </si>
  <si>
    <t>Buoni pasto</t>
  </si>
  <si>
    <t>Varie</t>
  </si>
  <si>
    <t>spese rif. Gestione straordinaria</t>
  </si>
  <si>
    <t>Spese generali</t>
  </si>
  <si>
    <t>Stipendi netti</t>
  </si>
  <si>
    <t>Contributi , irpef inail pagati in F24</t>
  </si>
  <si>
    <t>TFR liquidato anno corrente</t>
  </si>
  <si>
    <t xml:space="preserve">Trattenute sindacali </t>
  </si>
  <si>
    <t>Scissione pagamento IVA</t>
  </si>
  <si>
    <t>Costo del personale</t>
  </si>
  <si>
    <t>Spese bancarie e bolli e canone carta</t>
  </si>
  <si>
    <t>Totale oneri bancari</t>
  </si>
  <si>
    <t>Aran</t>
  </si>
  <si>
    <t>Irap</t>
  </si>
  <si>
    <t>Totale imposte</t>
  </si>
  <si>
    <t>Uscite  correnti gestione caratteristica</t>
  </si>
  <si>
    <t>Avanzo gestione caratteristica</t>
  </si>
  <si>
    <t>Acquisto titoli</t>
  </si>
  <si>
    <t>Uscite gestione finanziaria</t>
  </si>
  <si>
    <t>TOTALE ENTRATE</t>
  </si>
  <si>
    <t>TOTALE USCITE</t>
  </si>
  <si>
    <t>DISAVANZO DI GESTIONE</t>
  </si>
  <si>
    <t>AVANZO DI GESTIONE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</si>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</sst>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0" fillId="0" borderId="1" xfId="0" applyNumberFormat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164" fontId="0" fillId="0" borderId="1" xfId="0" applyNumberFormat="1" applyFill="1" applyBorder="1"/>
    <xf numFmtId="0" fontId="0" fillId="0" borderId="1" xfId="0" applyFill="1" applyBorder="1"/>
    <xf numFmtId="164" fontId="0" fillId="0" borderId="0" xfId="0" applyNumberFormat="1" applyFill="1" applyBorder="1"/>
    <xf numFmtId="0" fontId="4" fillId="3" borderId="1" xfId="0" applyFont="1" applyFill="1" applyBorder="1"/>
    <xf numFmtId="164" fontId="4" fillId="3" borderId="1" xfId="0" applyNumberFormat="1" applyFont="1" applyFill="1" applyBorder="1"/>
    <xf numFmtId="0" fontId="0" fillId="5" borderId="1" xfId="0" applyFill="1" applyBorder="1"/>
    <xf numFmtId="164" fontId="0" fillId="5" borderId="1" xfId="0" applyNumberFormat="1" applyFill="1" applyBorder="1"/>
    <xf numFmtId="0" fontId="1" fillId="5" borderId="1" xfId="0" applyFont="1" applyFill="1" applyBorder="1"/>
    <xf numFmtId="164" fontId="1" fillId="5" borderId="1" xfId="0" applyNumberFormat="1" applyFont="1" applyFill="1" applyBorder="1"/>
    <xf numFmtId="0" fontId="0" fillId="0" borderId="2" xfId="0" applyFill="1" applyBorder="1"/>
    <xf numFmtId="164" fontId="0" fillId="0" borderId="2" xfId="0" applyNumberFormat="1" applyFill="1" applyBorder="1"/>
    <xf numFmtId="0" fontId="1" fillId="6" borderId="1" xfId="0" applyFont="1" applyFill="1" applyBorder="1"/>
    <xf numFmtId="164" fontId="1" fillId="6" borderId="1" xfId="0" applyNumberFormat="1" applyFont="1" applyFill="1" applyBorder="1"/>
    <xf numFmtId="0" fontId="0" fillId="5" borderId="1" xfId="0" applyFont="1" applyFill="1" applyBorder="1"/>
    <xf numFmtId="164" fontId="0" fillId="5" borderId="1" xfId="0" applyNumberFormat="1" applyFont="1" applyFill="1" applyBorder="1"/>
    <xf numFmtId="0" fontId="1" fillId="4" borderId="1" xfId="0" applyFont="1" applyFill="1" applyBorder="1"/>
    <xf numFmtId="164" fontId="1" fillId="4" borderId="1" xfId="0" applyNumberFormat="1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1" fillId="7" borderId="1" xfId="0" applyFont="1" applyFill="1" applyBorder="1"/>
    <xf numFmtId="164" fontId="1" fillId="7" borderId="1" xfId="0" applyNumberFormat="1" applyFont="1" applyFill="1" applyBorder="1"/>
    <xf numFmtId="0" fontId="5" fillId="8" borderId="1" xfId="0" applyFont="1" applyFill="1" applyBorder="1"/>
    <xf numFmtId="164" fontId="5" fillId="8" borderId="1" xfId="0" applyNumberFormat="1" applyFont="1" applyFill="1" applyBorder="1"/>
    <xf numFmtId="0" fontId="1" fillId="9" borderId="1" xfId="0" applyFont="1" applyFill="1" applyBorder="1"/>
    <xf numFmtId="164" fontId="1" fillId="9" borderId="1" xfId="0" applyNumberFormat="1" applyFont="1" applyFill="1" applyBorder="1"/>
    <xf numFmtId="0" fontId="2" fillId="0" borderId="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zoomScale="60" zoomScaleNormal="100" workbookViewId="0">
      <selection sqref="A1:F1"/>
    </sheetView>
  </sheetViews>
  <sheetFormatPr defaultRowHeight="15" x14ac:dyDescent="0.25"/>
  <cols>
    <col min="1" max="1" width="35.7109375" bestFit="1" customWidth="1"/>
    <col min="2" max="2" width="17.28515625" bestFit="1" customWidth="1"/>
    <col min="3" max="3" width="17.7109375" bestFit="1" customWidth="1"/>
    <col min="4" max="4" width="35.28515625" bestFit="1" customWidth="1"/>
    <col min="5" max="5" width="19.5703125" customWidth="1"/>
    <col min="6" max="6" width="18.28515625" customWidth="1"/>
  </cols>
  <sheetData>
    <row r="1" spans="1:6" ht="18.75" x14ac:dyDescent="0.3">
      <c r="A1" s="32" t="s">
        <v>0</v>
      </c>
      <c r="B1" s="32"/>
      <c r="C1" s="32"/>
      <c r="D1" s="32"/>
      <c r="E1" s="32"/>
      <c r="F1" s="32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2" t="s">
        <v>1</v>
      </c>
      <c r="B3" s="2">
        <v>2017</v>
      </c>
      <c r="C3" s="2">
        <v>2016</v>
      </c>
      <c r="D3" s="3" t="s">
        <v>2</v>
      </c>
      <c r="E3" s="3">
        <v>2017</v>
      </c>
      <c r="F3" s="3">
        <v>2016</v>
      </c>
    </row>
    <row r="4" spans="1:6" x14ac:dyDescent="0.25">
      <c r="A4" s="1" t="s">
        <v>3</v>
      </c>
      <c r="B4" s="4">
        <f>113679.89+125+6445.71+369.92+869.35</f>
        <v>121489.87000000001</v>
      </c>
      <c r="C4" s="4">
        <f>106230.35+8585.98+619.34+2195.62</f>
        <v>117631.29</v>
      </c>
      <c r="D4" s="1" t="s">
        <v>4</v>
      </c>
      <c r="E4" s="4">
        <f>2445+1720.1</f>
        <v>4165.1000000000004</v>
      </c>
      <c r="F4" s="4">
        <f>2445+1720.1</f>
        <v>4165.1000000000004</v>
      </c>
    </row>
    <row r="5" spans="1:6" x14ac:dyDescent="0.25">
      <c r="A5" s="1" t="s">
        <v>5</v>
      </c>
      <c r="B5" s="4">
        <f>2550+450+1950</f>
        <v>4950</v>
      </c>
      <c r="C5" s="4">
        <f>2288+1350+1050+750</f>
        <v>5438</v>
      </c>
      <c r="D5" s="1" t="s">
        <v>6</v>
      </c>
      <c r="E5" s="4">
        <v>39710</v>
      </c>
      <c r="F5" s="4">
        <v>39083</v>
      </c>
    </row>
    <row r="6" spans="1:6" x14ac:dyDescent="0.25">
      <c r="A6" s="1" t="s">
        <v>7</v>
      </c>
      <c r="B6" s="4">
        <v>375</v>
      </c>
      <c r="C6" s="4">
        <v>348</v>
      </c>
      <c r="D6" s="1" t="s">
        <v>8</v>
      </c>
      <c r="E6" s="4">
        <v>0</v>
      </c>
      <c r="F6" s="4">
        <v>0</v>
      </c>
    </row>
    <row r="7" spans="1:6" x14ac:dyDescent="0.25">
      <c r="A7" s="1" t="s">
        <v>9</v>
      </c>
      <c r="B7" s="4">
        <v>0</v>
      </c>
      <c r="C7" s="4">
        <v>0</v>
      </c>
      <c r="D7" s="1" t="s">
        <v>10</v>
      </c>
      <c r="E7" s="4">
        <f>240.83+196.14+71.25</f>
        <v>508.22</v>
      </c>
      <c r="F7" s="4">
        <f>293.78+32+32+72.4</f>
        <v>430.17999999999995</v>
      </c>
    </row>
    <row r="8" spans="1:6" x14ac:dyDescent="0.25">
      <c r="A8" s="1" t="s">
        <v>11</v>
      </c>
      <c r="B8" s="4">
        <v>0</v>
      </c>
      <c r="C8" s="4">
        <v>0</v>
      </c>
      <c r="D8" s="1" t="s">
        <v>12</v>
      </c>
      <c r="E8" s="4">
        <f>80</f>
        <v>80</v>
      </c>
      <c r="F8" s="4">
        <f>430-135</f>
        <v>295</v>
      </c>
    </row>
    <row r="9" spans="1:6" x14ac:dyDescent="0.25">
      <c r="A9" s="1" t="s">
        <v>13</v>
      </c>
      <c r="B9" s="4">
        <f>110.81+107.11</f>
        <v>217.92000000000002</v>
      </c>
      <c r="C9" s="4">
        <f>277.5+117.1</f>
        <v>394.6</v>
      </c>
      <c r="D9" s="1" t="s">
        <v>14</v>
      </c>
      <c r="E9" s="4">
        <f>1953.42+220</f>
        <v>2173.42</v>
      </c>
      <c r="F9" s="4">
        <f>1953.42+30.5+268.4</f>
        <v>2252.3200000000002</v>
      </c>
    </row>
    <row r="10" spans="1:6" x14ac:dyDescent="0.25">
      <c r="A10" s="1" t="s">
        <v>15</v>
      </c>
      <c r="B10" s="4">
        <f>66.42</f>
        <v>66.42</v>
      </c>
      <c r="C10" s="4">
        <f>171.6</f>
        <v>171.6</v>
      </c>
      <c r="D10" s="1" t="s">
        <v>16</v>
      </c>
      <c r="E10" s="4">
        <v>0</v>
      </c>
      <c r="F10" s="4">
        <f>180.33+50.5-44.28</f>
        <v>186.55</v>
      </c>
    </row>
    <row r="11" spans="1:6" x14ac:dyDescent="0.25">
      <c r="A11" s="1" t="s">
        <v>17</v>
      </c>
      <c r="B11" s="4">
        <f>2.64</f>
        <v>2.64</v>
      </c>
      <c r="C11" s="4">
        <f>14.9+2.02+10.83</f>
        <v>27.75</v>
      </c>
      <c r="D11" s="1" t="s">
        <v>18</v>
      </c>
      <c r="E11" s="4">
        <f>160.17+127.94</f>
        <v>288.11</v>
      </c>
      <c r="F11" s="4">
        <f>815.48+103.24+68.76</f>
        <v>987.48</v>
      </c>
    </row>
    <row r="12" spans="1:6" x14ac:dyDescent="0.25">
      <c r="A12" s="1" t="s">
        <v>19</v>
      </c>
      <c r="B12" s="4">
        <f>50</f>
        <v>50</v>
      </c>
      <c r="C12" s="4">
        <f>200</f>
        <v>200</v>
      </c>
      <c r="D12" s="1" t="s">
        <v>20</v>
      </c>
      <c r="E12" s="4">
        <v>0</v>
      </c>
      <c r="F12" s="4">
        <f>135+44.28</f>
        <v>179.28</v>
      </c>
    </row>
    <row r="13" spans="1:6" x14ac:dyDescent="0.25">
      <c r="A13" s="1" t="s">
        <v>21</v>
      </c>
      <c r="B13" s="4">
        <f>41.8</f>
        <v>41.8</v>
      </c>
      <c r="C13" s="4">
        <v>0</v>
      </c>
      <c r="D13" s="1" t="s">
        <v>22</v>
      </c>
      <c r="E13" s="4">
        <f>92+157+262.5+237.5+209.4+340+130+200+350+352.3+136.36+165.3+250+443.19+181.82+951</f>
        <v>4458.3700000000008</v>
      </c>
      <c r="F13" s="4">
        <f>126.4+126.4+93+662.5+90+77+140+253+145.4+100+264+387.5+142+512.5+198+801.3+32+142.5+450+124+287.5+489+300</f>
        <v>5944</v>
      </c>
    </row>
    <row r="14" spans="1:6" x14ac:dyDescent="0.25">
      <c r="A14" s="1" t="s">
        <v>23</v>
      </c>
      <c r="B14" s="4">
        <v>0</v>
      </c>
      <c r="C14" s="4">
        <v>0</v>
      </c>
      <c r="D14" s="1" t="s">
        <v>24</v>
      </c>
      <c r="E14" s="4">
        <v>0</v>
      </c>
      <c r="F14" s="4">
        <v>0</v>
      </c>
    </row>
    <row r="15" spans="1:6" x14ac:dyDescent="0.25">
      <c r="A15" s="5" t="s">
        <v>25</v>
      </c>
      <c r="B15" s="6">
        <f>SUM(B4:B13)</f>
        <v>127193.65000000001</v>
      </c>
      <c r="C15" s="6">
        <f>SUM(C4:C14)</f>
        <v>124211.24</v>
      </c>
      <c r="D15" s="1" t="s">
        <v>26</v>
      </c>
      <c r="E15" s="4">
        <v>90.83</v>
      </c>
      <c r="F15" s="4">
        <v>5.98</v>
      </c>
    </row>
    <row r="16" spans="1:6" x14ac:dyDescent="0.25">
      <c r="A16" s="8" t="s">
        <v>27</v>
      </c>
      <c r="B16" s="7">
        <f>40000</f>
        <v>40000</v>
      </c>
      <c r="C16" s="7">
        <v>40000</v>
      </c>
      <c r="D16" s="1" t="s">
        <v>28</v>
      </c>
      <c r="E16" s="9">
        <v>982.26</v>
      </c>
      <c r="F16" s="4">
        <f>116.28+79.56+44.37+26.01+24.48+212.67+33.66+29.07+52.02+61.2+122.4+91.8</f>
        <v>893.52</v>
      </c>
    </row>
    <row r="17" spans="1:6" x14ac:dyDescent="0.25">
      <c r="A17" s="10" t="s">
        <v>29</v>
      </c>
      <c r="B17" s="11">
        <v>40000</v>
      </c>
      <c r="C17" s="11">
        <v>40000</v>
      </c>
      <c r="D17" s="1" t="s">
        <v>30</v>
      </c>
      <c r="E17" s="4">
        <f>49.38+124.38</f>
        <v>173.76</v>
      </c>
      <c r="F17" s="4">
        <f>17</f>
        <v>17</v>
      </c>
    </row>
    <row r="18" spans="1:6" x14ac:dyDescent="0.25">
      <c r="A18" s="12"/>
      <c r="B18" s="13"/>
      <c r="C18" s="13"/>
      <c r="D18" s="1" t="s">
        <v>31</v>
      </c>
      <c r="E18" s="4">
        <f>696</f>
        <v>696</v>
      </c>
      <c r="F18" s="4">
        <v>0</v>
      </c>
    </row>
    <row r="19" spans="1:6" x14ac:dyDescent="0.25">
      <c r="A19" s="14"/>
      <c r="B19" s="15"/>
      <c r="C19" s="15"/>
      <c r="D19" s="1" t="s">
        <v>32</v>
      </c>
      <c r="E19" s="4">
        <v>0</v>
      </c>
      <c r="F19" s="4">
        <f>631.96+650.87+16</f>
        <v>1298.83</v>
      </c>
    </row>
    <row r="20" spans="1:6" x14ac:dyDescent="0.25">
      <c r="A20" s="14"/>
      <c r="B20" s="15"/>
      <c r="C20" s="15"/>
      <c r="D20" s="16" t="s">
        <v>33</v>
      </c>
      <c r="E20" s="17">
        <v>0</v>
      </c>
      <c r="F20" s="4">
        <v>0</v>
      </c>
    </row>
    <row r="21" spans="1:6" x14ac:dyDescent="0.25">
      <c r="A21" s="1"/>
      <c r="B21" s="4"/>
      <c r="C21" s="4"/>
      <c r="D21" s="18" t="s">
        <v>34</v>
      </c>
      <c r="E21" s="19">
        <f>SUM(E4:E20)</f>
        <v>53326.070000000007</v>
      </c>
      <c r="F21" s="19">
        <f>SUM(F4:F20)</f>
        <v>55738.240000000005</v>
      </c>
    </row>
    <row r="22" spans="1:6" x14ac:dyDescent="0.25">
      <c r="A22" s="1"/>
      <c r="B22" s="4"/>
      <c r="C22" s="4"/>
      <c r="D22" s="1" t="s">
        <v>35</v>
      </c>
      <c r="E22" s="4">
        <f>3454+1798+1554+1804+3530+1784+1608+1781+3547+1731+1572+1222+1911</f>
        <v>27296</v>
      </c>
      <c r="F22" s="4">
        <f>3327+1731+1504+1742+3438+1761+1708+1763+3424+1670+1522+1203+1921</f>
        <v>26714</v>
      </c>
    </row>
    <row r="23" spans="1:6" x14ac:dyDescent="0.25">
      <c r="A23" s="1"/>
      <c r="B23" s="4"/>
      <c r="C23" s="4"/>
      <c r="D23" s="8" t="s">
        <v>36</v>
      </c>
      <c r="E23" s="7">
        <v>25491.279999999999</v>
      </c>
      <c r="F23" s="7">
        <f>2726.44+4173.88+1655.87+1419.17+1681.05+4203.13+1729.84+1203.4+1732.69+4098.52+1627.92+1537.68-3488.77</f>
        <v>24300.819999999996</v>
      </c>
    </row>
    <row r="24" spans="1:6" x14ac:dyDescent="0.25">
      <c r="A24" s="1"/>
      <c r="B24" s="4"/>
      <c r="C24" s="4"/>
      <c r="D24" s="1" t="s">
        <v>37</v>
      </c>
      <c r="E24" s="4">
        <f>2803.27</f>
        <v>2803.27</v>
      </c>
      <c r="F24" s="4">
        <v>2657.62</v>
      </c>
    </row>
    <row r="25" spans="1:6" x14ac:dyDescent="0.25">
      <c r="A25" s="1"/>
      <c r="B25" s="4"/>
      <c r="C25" s="4"/>
      <c r="D25" s="8" t="s">
        <v>38</v>
      </c>
      <c r="E25" s="7">
        <f>17.62+17.62+17.62+17.62+17.62+17.62+17.62+17.62+17.62+17.62+17.62+17.62+17.62</f>
        <v>229.06000000000003</v>
      </c>
      <c r="F25" s="7">
        <f>17.11+17.11+17.11+17.11+17.11+17.11+17.11+17.11+17.11+17.11+17.11+17.11+17.11</f>
        <v>222.43000000000006</v>
      </c>
    </row>
    <row r="26" spans="1:6" x14ac:dyDescent="0.25">
      <c r="A26" s="1"/>
      <c r="B26" s="4"/>
      <c r="C26" s="4"/>
      <c r="D26" s="8" t="s">
        <v>39</v>
      </c>
      <c r="E26" s="7">
        <f>48.4+27.84+13.64+25+43.15</f>
        <v>158.03</v>
      </c>
      <c r="F26" s="7">
        <v>0</v>
      </c>
    </row>
    <row r="27" spans="1:6" x14ac:dyDescent="0.25">
      <c r="A27" s="1"/>
      <c r="B27" s="4"/>
      <c r="C27" s="4"/>
      <c r="D27" s="18" t="s">
        <v>40</v>
      </c>
      <c r="E27" s="19">
        <f>SUM(E22:E26)</f>
        <v>55977.639999999992</v>
      </c>
      <c r="F27" s="19">
        <f>SUM(F22:F25)</f>
        <v>53894.869999999995</v>
      </c>
    </row>
    <row r="28" spans="1:6" x14ac:dyDescent="0.25">
      <c r="A28" s="1"/>
      <c r="B28" s="4"/>
      <c r="C28" s="4"/>
      <c r="D28" s="1" t="s">
        <v>41</v>
      </c>
      <c r="E28" s="4">
        <f>53.6+23.83+24.7+23.83+79.8+23.83+49.03+16.23+35.87+10</f>
        <v>340.72</v>
      </c>
      <c r="F28" s="4">
        <f>49+24.9+48.4+65.3+13.1+16.23+47.57+10</f>
        <v>274.5</v>
      </c>
    </row>
    <row r="29" spans="1:6" x14ac:dyDescent="0.25">
      <c r="A29" s="1"/>
      <c r="B29" s="4"/>
      <c r="C29" s="4"/>
      <c r="D29" s="18" t="s">
        <v>42</v>
      </c>
      <c r="E29" s="19">
        <f>SUM(E28)</f>
        <v>340.72</v>
      </c>
      <c r="F29" s="19">
        <f>SUM(F28)</f>
        <v>274.5</v>
      </c>
    </row>
    <row r="30" spans="1:6" x14ac:dyDescent="0.25">
      <c r="A30" s="1"/>
      <c r="B30" s="4"/>
      <c r="C30" s="4"/>
      <c r="D30" s="1" t="s">
        <v>43</v>
      </c>
      <c r="E30" s="4">
        <f>3.1</f>
        <v>3.1</v>
      </c>
      <c r="F30" s="4">
        <v>3.1</v>
      </c>
    </row>
    <row r="31" spans="1:6" x14ac:dyDescent="0.25">
      <c r="A31" s="1"/>
      <c r="B31" s="4"/>
      <c r="C31" s="4"/>
      <c r="D31" s="20" t="s">
        <v>44</v>
      </c>
      <c r="E31" s="21">
        <f>374.51+493.09+229.84+195.59+231.63+507.28+229.84+195.59+228.99+507.28+222.62+201.45</f>
        <v>3617.7099999999991</v>
      </c>
      <c r="F31" s="21">
        <f>148.07+225.59+466.48+218.54+188.79+221.17+491.98+225.51+188.79+225.51+480.59+213.27+194.48</f>
        <v>3488.7700000000004</v>
      </c>
    </row>
    <row r="32" spans="1:6" x14ac:dyDescent="0.25">
      <c r="A32" s="1"/>
      <c r="B32" s="4"/>
      <c r="C32" s="4"/>
      <c r="D32" s="18" t="s">
        <v>45</v>
      </c>
      <c r="E32" s="19">
        <f>SUM(E30:E31)</f>
        <v>3620.809999999999</v>
      </c>
      <c r="F32" s="19">
        <f>SUM(F30:F31)</f>
        <v>3491.8700000000003</v>
      </c>
    </row>
    <row r="33" spans="1:6" x14ac:dyDescent="0.25">
      <c r="A33" s="1"/>
      <c r="B33" s="4"/>
      <c r="C33" s="4"/>
      <c r="D33" s="5" t="s">
        <v>46</v>
      </c>
      <c r="E33" s="6">
        <f>SUM(E21+E27+E29+E32)</f>
        <v>113265.23999999999</v>
      </c>
      <c r="F33" s="6">
        <f>SUM(F21+F27+F29+F32)</f>
        <v>113399.48</v>
      </c>
    </row>
    <row r="34" spans="1:6" x14ac:dyDescent="0.25">
      <c r="A34" s="1"/>
      <c r="B34" s="4"/>
      <c r="C34" s="4"/>
      <c r="D34" s="22" t="s">
        <v>47</v>
      </c>
      <c r="E34" s="23"/>
      <c r="F34" s="23">
        <f>SUM(C38-F33)</f>
        <v>-84211.239999999991</v>
      </c>
    </row>
    <row r="35" spans="1:6" x14ac:dyDescent="0.25">
      <c r="A35" s="1"/>
      <c r="B35" s="4"/>
      <c r="C35" s="4"/>
      <c r="D35" s="1" t="s">
        <v>48</v>
      </c>
      <c r="E35" s="4">
        <f>40000</f>
        <v>40000</v>
      </c>
      <c r="F35" s="4">
        <v>80000</v>
      </c>
    </row>
    <row r="36" spans="1:6" x14ac:dyDescent="0.25">
      <c r="A36" s="1"/>
      <c r="B36" s="4"/>
      <c r="C36" s="4"/>
      <c r="D36" s="24" t="s">
        <v>49</v>
      </c>
      <c r="E36" s="25">
        <v>40000</v>
      </c>
      <c r="F36" s="25">
        <f>SUM(F35:F35)</f>
        <v>80000</v>
      </c>
    </row>
    <row r="37" spans="1:6" x14ac:dyDescent="0.25">
      <c r="A37" s="26" t="s">
        <v>50</v>
      </c>
      <c r="B37" s="27">
        <f>SUM(B15+B17)</f>
        <v>167193.65000000002</v>
      </c>
      <c r="C37" s="27">
        <v>164211.24</v>
      </c>
      <c r="D37" s="26" t="s">
        <v>51</v>
      </c>
      <c r="E37" s="27">
        <f>SUM(E33+E36)</f>
        <v>153265.24</v>
      </c>
      <c r="F37" s="27">
        <f>SUM(F36+F33)</f>
        <v>193399.47999999998</v>
      </c>
    </row>
    <row r="38" spans="1:6" x14ac:dyDescent="0.25">
      <c r="A38" s="28" t="s">
        <v>52</v>
      </c>
      <c r="B38" s="29"/>
      <c r="C38" s="29">
        <v>29188.240000000002</v>
      </c>
      <c r="D38" s="28" t="s">
        <v>53</v>
      </c>
      <c r="E38" s="29">
        <f>SUM(B37-E37)</f>
        <v>13928.410000000033</v>
      </c>
      <c r="F38" s="29">
        <v>0</v>
      </c>
    </row>
    <row r="39" spans="1:6" x14ac:dyDescent="0.25">
      <c r="A39" s="30" t="s">
        <v>54</v>
      </c>
      <c r="B39" s="31">
        <v>167193.65</v>
      </c>
      <c r="C39" s="31">
        <f>SUM(C37:C38)</f>
        <v>193399.47999999998</v>
      </c>
      <c r="D39" s="30" t="s">
        <v>54</v>
      </c>
      <c r="E39" s="31">
        <v>153400.24</v>
      </c>
      <c r="F39" s="31">
        <v>193399.48</v>
      </c>
    </row>
  </sheetData>
  <mergeCells count="1">
    <mergeCell ref="A1:F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2018-05-10T15:21:54Z</dcterms:modified>
</cp:coreProperties>
</file>